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omantelom.sharepoint.com/sites/AccountingCompliance/Shared Documents/General/Accounts/2025/09 Sep 25/FS/Exculde Zain/"/>
    </mc:Choice>
  </mc:AlternateContent>
  <xr:revisionPtr revIDLastSave="0" documentId="8_{745C35D9-757B-48BB-ADB5-6E3BE16958B1}" xr6:coauthVersionLast="47" xr6:coauthVersionMax="47" xr10:uidLastSave="{00000000-0000-0000-0000-000000000000}"/>
  <bookViews>
    <workbookView xWindow="-110" yWindow="-110" windowWidth="19420" windowHeight="10300" firstSheet="3" activeTab="3" xr2:uid="{81B58AA4-2E3A-4ADD-BF1A-6E7BC77D0F80}"/>
  </bookViews>
  <sheets>
    <sheet name="BS" sheetId="1" r:id="rId1"/>
    <sheet name="IS" sheetId="2" r:id="rId2"/>
    <sheet name="SCE" sheetId="4" state="hidden" r:id="rId3"/>
    <sheet name="CF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C39" i="3"/>
  <c r="B26" i="3"/>
  <c r="C26" i="3"/>
  <c r="C12" i="3" l="1"/>
  <c r="B12" i="3"/>
  <c r="C30" i="3" l="1"/>
  <c r="C32" i="3"/>
  <c r="C31" i="3"/>
  <c r="C18" i="3"/>
  <c r="B20" i="3"/>
  <c r="B37" i="3" l="1"/>
  <c r="B43" i="3" s="1"/>
  <c r="B31" i="1"/>
  <c r="B52" i="1"/>
  <c r="L12" i="4"/>
  <c r="L11" i="4"/>
  <c r="C14" i="4"/>
  <c r="J10" i="4"/>
  <c r="L10" i="4" s="1"/>
  <c r="B14" i="3"/>
  <c r="B13" i="3"/>
  <c r="B11" i="3"/>
  <c r="B10" i="3"/>
  <c r="B9" i="3"/>
  <c r="B34" i="3"/>
  <c r="B16" i="2"/>
  <c r="B42" i="1"/>
  <c r="C15" i="1" l="1"/>
  <c r="B15" i="1"/>
  <c r="B25" i="2"/>
  <c r="B19" i="2"/>
  <c r="B21" i="2" l="1"/>
  <c r="B7" i="3"/>
  <c r="L20" i="4"/>
  <c r="K19" i="4"/>
  <c r="K21" i="4" s="1"/>
  <c r="I19" i="4"/>
  <c r="I21" i="4" s="1"/>
  <c r="L18" i="4"/>
  <c r="J17" i="4"/>
  <c r="L17" i="4" s="1"/>
  <c r="K9" i="4"/>
  <c r="K14" i="4" s="1"/>
  <c r="I9" i="4"/>
  <c r="I14" i="4" s="1"/>
  <c r="J8" i="4"/>
  <c r="L8" i="4" s="1"/>
  <c r="L9" i="4" s="1"/>
  <c r="L14" i="4" s="1"/>
  <c r="J7" i="4"/>
  <c r="B17" i="3" l="1"/>
  <c r="B21" i="3" s="1"/>
  <c r="B23" i="3" s="1"/>
  <c r="L7" i="4"/>
  <c r="L19" i="4"/>
  <c r="L21" i="4" s="1"/>
  <c r="J19" i="4"/>
  <c r="J21" i="4" s="1"/>
  <c r="J9" i="4"/>
  <c r="J14" i="4" s="1"/>
  <c r="B44" i="3" l="1"/>
  <c r="C43" i="3"/>
  <c r="C34" i="3"/>
  <c r="C14" i="3"/>
  <c r="C13" i="3"/>
  <c r="C11" i="3"/>
  <c r="C10" i="3"/>
  <c r="C9" i="3"/>
  <c r="B47" i="3" l="1"/>
  <c r="C25" i="2"/>
  <c r="C19" i="2" l="1"/>
  <c r="C21" i="2" s="1"/>
  <c r="C53" i="1"/>
  <c r="C42" i="1"/>
  <c r="C36" i="1"/>
  <c r="C27" i="1"/>
  <c r="B53" i="1"/>
  <c r="B55" i="1" s="1"/>
  <c r="B36" i="1"/>
  <c r="B27" i="1"/>
  <c r="C7" i="3" l="1"/>
  <c r="C17" i="3" s="1"/>
  <c r="C21" i="3" s="1"/>
  <c r="C43" i="1"/>
  <c r="C55" i="1"/>
  <c r="B43" i="1"/>
  <c r="B56" i="1" s="1"/>
  <c r="C28" i="1"/>
  <c r="B28" i="1"/>
  <c r="C23" i="3" l="1"/>
  <c r="C56" i="1"/>
  <c r="C57" i="1" s="1"/>
  <c r="B57" i="1"/>
  <c r="C44" i="3" l="1"/>
  <c r="C47" i="3" s="1"/>
</calcChain>
</file>

<file path=xl/sharedStrings.xml><?xml version="1.0" encoding="utf-8"?>
<sst xmlns="http://schemas.openxmlformats.org/spreadsheetml/2006/main" count="211" uniqueCount="132">
  <si>
    <t>Oman Telecommuncations Company SAOG</t>
  </si>
  <si>
    <t>Omantel Group excluding Zain</t>
  </si>
  <si>
    <t>Consolidated Statement of financial position as at 30 June 2024</t>
  </si>
  <si>
    <t>31 June</t>
  </si>
  <si>
    <t>31 December</t>
  </si>
  <si>
    <t>2025</t>
  </si>
  <si>
    <t>ASSETS</t>
  </si>
  <si>
    <t>Current assets</t>
  </si>
  <si>
    <t>Cash and bank balances</t>
  </si>
  <si>
    <t>Trade and other receivables</t>
  </si>
  <si>
    <t xml:space="preserve">Contract asset </t>
  </si>
  <si>
    <t>Investment securities at amortised cost</t>
  </si>
  <si>
    <t>Inventories</t>
  </si>
  <si>
    <t>Investment securities at FVTPL</t>
  </si>
  <si>
    <t>Non-current assets</t>
  </si>
  <si>
    <t>Investments at amortised cost</t>
  </si>
  <si>
    <t>Investment in associates</t>
  </si>
  <si>
    <t>Investment in a subsidiary</t>
  </si>
  <si>
    <t>Deferred tax</t>
  </si>
  <si>
    <t>Contract assets</t>
  </si>
  <si>
    <t>Right of use assets</t>
  </si>
  <si>
    <t>Property and equipment</t>
  </si>
  <si>
    <t xml:space="preserve">Goodwill and intangible assets </t>
  </si>
  <si>
    <t>Other non-current assets</t>
  </si>
  <si>
    <t>Total assets</t>
  </si>
  <si>
    <t>EQUITY AND LIABILITIES</t>
  </si>
  <si>
    <t>Current liabilities</t>
  </si>
  <si>
    <t xml:space="preserve">Trade and other payable </t>
  </si>
  <si>
    <t xml:space="preserve">Contract liability </t>
  </si>
  <si>
    <t xml:space="preserve">Income tax payable </t>
  </si>
  <si>
    <t>Lease liabilities</t>
  </si>
  <si>
    <t>Borrowings</t>
  </si>
  <si>
    <t>Non-current liabilities</t>
  </si>
  <si>
    <t>Deferred government grant</t>
  </si>
  <si>
    <t>Other non-current liabilities</t>
  </si>
  <si>
    <t>Total liabilities</t>
  </si>
  <si>
    <t>Capital and reserves</t>
  </si>
  <si>
    <t xml:space="preserve">Share capital </t>
  </si>
  <si>
    <t>Own shares held by liquidity provider</t>
  </si>
  <si>
    <t xml:space="preserve">Reserve on trading in equity shares </t>
  </si>
  <si>
    <t>Legal reserve</t>
  </si>
  <si>
    <t>Voluntary reserve</t>
  </si>
  <si>
    <t>Capital contribution</t>
  </si>
  <si>
    <t xml:space="preserve">Capital reserve </t>
  </si>
  <si>
    <t xml:space="preserve">Retained earnings </t>
  </si>
  <si>
    <t>Equity attributable to equity holders of parent</t>
  </si>
  <si>
    <t>Attributable to minority interest</t>
  </si>
  <si>
    <t>Total equity</t>
  </si>
  <si>
    <t>Total equity and liablities</t>
  </si>
  <si>
    <t>Consolidated Statement of Profit and loss - 30 June 2025</t>
  </si>
  <si>
    <t>30 June</t>
  </si>
  <si>
    <t>2024</t>
  </si>
  <si>
    <t>Revenue</t>
  </si>
  <si>
    <t>Cost of sales</t>
  </si>
  <si>
    <t>Operating and administrative expenses</t>
  </si>
  <si>
    <t>Depreciation and amortization</t>
  </si>
  <si>
    <t>Expected credit loss on financial assets (ECL)</t>
  </si>
  <si>
    <t>Interest income</t>
  </si>
  <si>
    <t xml:space="preserve">Investment income </t>
  </si>
  <si>
    <t>Share of results of associates and joint venture</t>
  </si>
  <si>
    <t>Other (expense)/ income</t>
  </si>
  <si>
    <t>Finance cost</t>
  </si>
  <si>
    <t xml:space="preserve">(Loss)/Gain from currency revaluation </t>
  </si>
  <si>
    <t>Profit before taxation</t>
  </si>
  <si>
    <t>Taxation</t>
  </si>
  <si>
    <t>Profit for the period</t>
  </si>
  <si>
    <t>Attributable to:</t>
  </si>
  <si>
    <t>Equity holders of the parent</t>
  </si>
  <si>
    <t>Non-controlling interests</t>
  </si>
  <si>
    <t>Consolidated Statement of Changes in Equity – Six months ended 30 June 2025</t>
  </si>
  <si>
    <t>Attributable to equity holders of the parent</t>
  </si>
  <si>
    <t>Share capital</t>
  </si>
  <si>
    <t>Capital reserve</t>
  </si>
  <si>
    <t>Retained</t>
  </si>
  <si>
    <t>Total</t>
  </si>
  <si>
    <t>Non- controlling interests</t>
  </si>
  <si>
    <t>RO’000</t>
  </si>
  <si>
    <t>At 1 January 2025</t>
  </si>
  <si>
    <t>-</t>
  </si>
  <si>
    <t xml:space="preserve">   Total comprehensive income for the period</t>
  </si>
  <si>
    <t xml:space="preserve">   Trading in own shares</t>
  </si>
  <si>
    <t xml:space="preserve">   On acquisition of subsidiary</t>
  </si>
  <si>
    <t xml:space="preserve">   On disposal of subsidiary</t>
  </si>
  <si>
    <t xml:space="preserve">Dividends </t>
  </si>
  <si>
    <t>At 30 June 2025</t>
  </si>
  <si>
    <t>At 1 January 2024</t>
  </si>
  <si>
    <t xml:space="preserve">  Total comprehensive income for the period</t>
  </si>
  <si>
    <t>Dividends</t>
  </si>
  <si>
    <t>At 30 June 2024</t>
  </si>
  <si>
    <t>Consolidated Statement of Cashflow for six months ended 30 June 2025</t>
  </si>
  <si>
    <r>
      <t xml:space="preserve">OPERATING ACTIVITIES  </t>
    </r>
    <r>
      <rPr>
        <b/>
        <i/>
        <sz val="10"/>
        <color indexed="8"/>
        <rFont val="Arial"/>
        <family val="2"/>
      </rPr>
      <t xml:space="preserve">  </t>
    </r>
  </si>
  <si>
    <t>Profit for the period before tax</t>
  </si>
  <si>
    <t>Adjustments for:</t>
  </si>
  <si>
    <t xml:space="preserve">  Depreciation and amortization</t>
  </si>
  <si>
    <t xml:space="preserve">  ECL on financial assets</t>
  </si>
  <si>
    <t xml:space="preserve">  Interest income</t>
  </si>
  <si>
    <t xml:space="preserve">  Investment income</t>
  </si>
  <si>
    <t xml:space="preserve">  Share of results of associates</t>
  </si>
  <si>
    <t xml:space="preserve">  Finance costs</t>
  </si>
  <si>
    <t xml:space="preserve"> (Gain)/ loss from currency revaluation</t>
  </si>
  <si>
    <t xml:space="preserve"> Gain on sale of property and equipment</t>
  </si>
  <si>
    <t>Operating profit before working capital changes</t>
  </si>
  <si>
    <t xml:space="preserve">  Increase in trade and other receivables and contract assets</t>
  </si>
  <si>
    <t xml:space="preserve">  (Increase)/ decrease in inventories</t>
  </si>
  <si>
    <t xml:space="preserve">  Decrease in trade and other payables</t>
  </si>
  <si>
    <t>Cash generated from operations</t>
  </si>
  <si>
    <t>Income tax paid</t>
  </si>
  <si>
    <t>Net cash flows from operating activities</t>
  </si>
  <si>
    <t>INVESTING ACTIVITIES</t>
  </si>
  <si>
    <t>Fixed deposit</t>
  </si>
  <si>
    <t>Acquisition of property and equipment</t>
  </si>
  <si>
    <t>Proceeds from Sale of Property and equipment</t>
  </si>
  <si>
    <t>Acquisition of intangible assets (net)</t>
  </si>
  <si>
    <t>Investment in securities (net)</t>
  </si>
  <si>
    <t>Investment in Subsidiary</t>
  </si>
  <si>
    <t xml:space="preserve">Investment in associate </t>
  </si>
  <si>
    <t xml:space="preserve">Dividend received </t>
  </si>
  <si>
    <t>Interest received</t>
  </si>
  <si>
    <t>Net cash flows from/ (used in) investing activities</t>
  </si>
  <si>
    <t>FINANCING ACTIVITIES</t>
  </si>
  <si>
    <t xml:space="preserve">Proceeds from borrowings </t>
  </si>
  <si>
    <t>Repayment of borrowings</t>
  </si>
  <si>
    <t xml:space="preserve">Sale and lease back-Impact at above market terms </t>
  </si>
  <si>
    <t>Repayment of lease liabilities</t>
  </si>
  <si>
    <t xml:space="preserve">Acquisition of own shares </t>
  </si>
  <si>
    <t xml:space="preserve">Dividends paid to Company’s shareholders </t>
  </si>
  <si>
    <t xml:space="preserve">Finance costs paid </t>
  </si>
  <si>
    <t>Net cash flows used in financing activities</t>
  </si>
  <si>
    <t>DECREASE IN CASH AND CASH EQUIVALENTS</t>
  </si>
  <si>
    <t>Cash and cash equivalents at 1 January</t>
  </si>
  <si>
    <t xml:space="preserve">Derecognition of subsidiary </t>
  </si>
  <si>
    <t>Cash and cash equivalents at 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</si>
</sst>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0"/>
      <color indexed="8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00">
    <xf numFmtId="0" fontId="0" fillId="0" borderId="0" xfId="0"/>
    <xf numFmtId="165" fontId="0" fillId="0" borderId="0" xfId="0" applyNumberFormat="1"/>
    <xf numFmtId="0" fontId="4" fillId="0" borderId="0" xfId="0" applyFont="1"/>
    <xf numFmtId="0" fontId="3" fillId="0" borderId="0" xfId="0" applyFont="1"/>
    <xf numFmtId="165" fontId="3" fillId="0" borderId="0" xfId="1" applyNumberFormat="1" applyFont="1" applyFill="1"/>
    <xf numFmtId="0" fontId="3" fillId="0" borderId="0" xfId="0" applyFont="1" applyAlignment="1">
      <alignment horizontal="center"/>
    </xf>
    <xf numFmtId="165" fontId="3" fillId="0" borderId="0" xfId="1" applyNumberFormat="1" applyFont="1" applyFill="1" applyBorder="1"/>
    <xf numFmtId="165" fontId="4" fillId="0" borderId="0" xfId="1" applyNumberFormat="1" applyFont="1" applyFill="1" applyBorder="1"/>
    <xf numFmtId="0" fontId="4" fillId="0" borderId="0" xfId="0" applyFont="1" applyAlignment="1">
      <alignment horizontal="right"/>
    </xf>
    <xf numFmtId="15" fontId="4" fillId="0" borderId="0" xfId="0" quotePrefix="1" applyNumberFormat="1" applyFont="1" applyAlignment="1">
      <alignment horizontal="center"/>
    </xf>
    <xf numFmtId="165" fontId="3" fillId="0" borderId="2" xfId="1" applyNumberFormat="1" applyFont="1" applyFill="1" applyBorder="1"/>
    <xf numFmtId="165" fontId="4" fillId="0" borderId="3" xfId="1" applyNumberFormat="1" applyFont="1" applyFill="1" applyBorder="1"/>
    <xf numFmtId="165" fontId="4" fillId="0" borderId="0" xfId="1" applyNumberFormat="1" applyFont="1" applyFill="1"/>
    <xf numFmtId="165" fontId="4" fillId="0" borderId="2" xfId="1" applyNumberFormat="1" applyFont="1" applyFill="1" applyBorder="1"/>
    <xf numFmtId="165" fontId="3" fillId="0" borderId="0" xfId="0" applyNumberFormat="1" applyFont="1"/>
    <xf numFmtId="165" fontId="0" fillId="0" borderId="0" xfId="1" applyNumberFormat="1" applyFont="1"/>
    <xf numFmtId="15" fontId="3" fillId="0" borderId="0" xfId="0" quotePrefix="1" applyNumberFormat="1" applyFont="1" applyAlignment="1">
      <alignment horizontal="center"/>
    </xf>
    <xf numFmtId="164" fontId="4" fillId="0" borderId="0" xfId="0" quotePrefix="1" applyNumberFormat="1" applyFont="1" applyAlignment="1">
      <alignment horizontal="center"/>
    </xf>
    <xf numFmtId="0" fontId="2" fillId="0" borderId="0" xfId="2" applyFont="1"/>
    <xf numFmtId="0" fontId="5" fillId="0" borderId="0" xfId="2" applyFont="1"/>
    <xf numFmtId="0" fontId="8" fillId="0" borderId="0" xfId="0" applyFont="1"/>
    <xf numFmtId="165" fontId="9" fillId="0" borderId="0" xfId="1" applyNumberFormat="1" applyFont="1"/>
    <xf numFmtId="165" fontId="8" fillId="0" borderId="0" xfId="1" applyNumberFormat="1" applyFont="1"/>
    <xf numFmtId="165" fontId="9" fillId="0" borderId="2" xfId="1" applyNumberFormat="1" applyFont="1" applyBorder="1"/>
    <xf numFmtId="165" fontId="8" fillId="0" borderId="2" xfId="1" applyNumberFormat="1" applyFont="1" applyBorder="1"/>
    <xf numFmtId="0" fontId="9" fillId="0" borderId="0" xfId="0" applyFont="1"/>
    <xf numFmtId="165" fontId="9" fillId="0" borderId="3" xfId="0" applyNumberFormat="1" applyFont="1" applyBorder="1"/>
    <xf numFmtId="165" fontId="8" fillId="0" borderId="3" xfId="0" applyNumberFormat="1" applyFont="1" applyBorder="1"/>
    <xf numFmtId="15" fontId="4" fillId="0" borderId="4" xfId="0" quotePrefix="1" applyNumberFormat="1" applyFont="1" applyBorder="1" applyAlignment="1">
      <alignment horizontal="center"/>
    </xf>
    <xf numFmtId="0" fontId="4" fillId="0" borderId="5" xfId="0" applyFont="1" applyBorder="1"/>
    <xf numFmtId="165" fontId="4" fillId="0" borderId="5" xfId="4" applyNumberFormat="1" applyFont="1" applyFill="1" applyBorder="1" applyAlignment="1">
      <alignment horizontal="left"/>
    </xf>
    <xf numFmtId="165" fontId="4" fillId="0" borderId="6" xfId="4" applyNumberFormat="1" applyFont="1" applyFill="1" applyBorder="1" applyAlignment="1">
      <alignment horizontal="left"/>
    </xf>
    <xf numFmtId="165" fontId="4" fillId="2" borderId="4" xfId="4" applyNumberFormat="1" applyFont="1" applyFill="1" applyBorder="1" applyAlignment="1"/>
    <xf numFmtId="165" fontId="4" fillId="2" borderId="5" xfId="4" applyNumberFormat="1" applyFont="1" applyFill="1" applyBorder="1" applyAlignment="1"/>
    <xf numFmtId="165" fontId="3" fillId="0" borderId="5" xfId="4" applyNumberFormat="1" applyFont="1" applyFill="1" applyBorder="1" applyAlignment="1">
      <alignment horizontal="left"/>
    </xf>
    <xf numFmtId="165" fontId="3" fillId="0" borderId="6" xfId="4" applyNumberFormat="1" applyFont="1" applyFill="1" applyBorder="1" applyAlignment="1">
      <alignment horizontal="left"/>
    </xf>
    <xf numFmtId="165" fontId="3" fillId="2" borderId="1" xfId="4" applyNumberFormat="1" applyFont="1" applyFill="1" applyBorder="1" applyAlignment="1"/>
    <xf numFmtId="164" fontId="4" fillId="0" borderId="6" xfId="0" quotePrefix="1" applyNumberFormat="1" applyFont="1" applyBorder="1" applyAlignment="1">
      <alignment horizontal="center"/>
    </xf>
    <xf numFmtId="0" fontId="4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top"/>
    </xf>
    <xf numFmtId="0" fontId="4" fillId="0" borderId="6" xfId="0" applyFont="1" applyBorder="1"/>
    <xf numFmtId="165" fontId="3" fillId="0" borderId="3" xfId="1" applyNumberFormat="1" applyFont="1" applyFill="1" applyBorder="1"/>
    <xf numFmtId="0" fontId="10" fillId="0" borderId="0" xfId="0" applyFont="1"/>
    <xf numFmtId="0" fontId="11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 indent="1"/>
    </xf>
    <xf numFmtId="3" fontId="11" fillId="0" borderId="8" xfId="0" applyNumberFormat="1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vertical="center" wrapText="1"/>
    </xf>
    <xf numFmtId="165" fontId="11" fillId="0" borderId="10" xfId="1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165" fontId="11" fillId="0" borderId="0" xfId="1" applyNumberFormat="1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165" fontId="11" fillId="0" borderId="8" xfId="1" applyNumberFormat="1" applyFont="1" applyBorder="1" applyAlignment="1">
      <alignment vertical="center" wrapText="1"/>
    </xf>
    <xf numFmtId="0" fontId="13" fillId="0" borderId="0" xfId="0" applyFont="1" applyAlignment="1">
      <alignment horizontal="right" vertical="center" wrapText="1" indent="1"/>
    </xf>
    <xf numFmtId="165" fontId="13" fillId="0" borderId="0" xfId="1" applyNumberFormat="1" applyFont="1" applyBorder="1" applyAlignment="1">
      <alignment horizontal="right" vertical="center" wrapText="1" indent="1"/>
    </xf>
    <xf numFmtId="165" fontId="13" fillId="0" borderId="0" xfId="1" applyNumberFormat="1" applyFont="1" applyAlignment="1">
      <alignment vertical="center" wrapText="1"/>
    </xf>
    <xf numFmtId="3" fontId="13" fillId="0" borderId="0" xfId="0" applyNumberFormat="1" applyFont="1" applyAlignment="1">
      <alignment horizontal="right" vertical="center" wrapText="1" indent="1"/>
    </xf>
    <xf numFmtId="3" fontId="13" fillId="0" borderId="8" xfId="0" applyNumberFormat="1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vertical="center" wrapText="1"/>
    </xf>
    <xf numFmtId="165" fontId="13" fillId="0" borderId="9" xfId="1" applyNumberFormat="1" applyFont="1" applyBorder="1" applyAlignment="1">
      <alignment vertical="center" wrapText="1"/>
    </xf>
    <xf numFmtId="3" fontId="13" fillId="0" borderId="0" xfId="0" applyNumberFormat="1" applyFont="1" applyAlignment="1">
      <alignment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vertical="center" wrapText="1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wrapText="1" indent="1"/>
    </xf>
    <xf numFmtId="165" fontId="13" fillId="0" borderId="0" xfId="1" applyNumberFormat="1" applyFont="1" applyFill="1" applyBorder="1" applyAlignment="1">
      <alignment horizontal="right" vertical="center" wrapText="1" indent="1"/>
    </xf>
    <xf numFmtId="165" fontId="13" fillId="0" borderId="0" xfId="1" applyNumberFormat="1" applyFont="1" applyFill="1" applyBorder="1" applyAlignment="1">
      <alignment vertical="center" wrapText="1"/>
    </xf>
    <xf numFmtId="164" fontId="3" fillId="0" borderId="0" xfId="0" quotePrefix="1" applyNumberFormat="1" applyFont="1" applyAlignment="1">
      <alignment horizontal="center"/>
    </xf>
    <xf numFmtId="165" fontId="4" fillId="2" borderId="6" xfId="4" applyNumberFormat="1" applyFont="1" applyFill="1" applyBorder="1" applyAlignment="1">
      <alignment horizontal="left"/>
    </xf>
    <xf numFmtId="165" fontId="4" fillId="2" borderId="5" xfId="4" applyNumberFormat="1" applyFont="1" applyFill="1" applyBorder="1" applyAlignment="1">
      <alignment horizontal="left"/>
    </xf>
    <xf numFmtId="165" fontId="4" fillId="0" borderId="5" xfId="0" applyNumberFormat="1" applyFont="1" applyBorder="1"/>
    <xf numFmtId="165" fontId="4" fillId="0" borderId="4" xfId="4" applyNumberFormat="1" applyFont="1" applyFill="1" applyBorder="1" applyAlignment="1"/>
    <xf numFmtId="0" fontId="4" fillId="0" borderId="6" xfId="0" applyFont="1" applyBorder="1" applyAlignment="1">
      <alignment horizontal="center"/>
    </xf>
    <xf numFmtId="43" fontId="11" fillId="0" borderId="8" xfId="1" applyFont="1" applyBorder="1" applyAlignment="1">
      <alignment horizontal="center" vertical="center" wrapText="1"/>
    </xf>
    <xf numFmtId="43" fontId="11" fillId="0" borderId="8" xfId="1" applyFont="1" applyBorder="1" applyAlignment="1">
      <alignment horizontal="left" vertical="center" wrapText="1"/>
    </xf>
    <xf numFmtId="165" fontId="5" fillId="0" borderId="0" xfId="1" applyNumberFormat="1" applyFont="1" applyFill="1" applyBorder="1"/>
    <xf numFmtId="0" fontId="11" fillId="0" borderId="7" xfId="0" applyFont="1" applyBorder="1" applyAlignment="1">
      <alignment horizontal="center" vertical="center" wrapText="1"/>
    </xf>
    <xf numFmtId="43" fontId="11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165" fontId="11" fillId="0" borderId="8" xfId="1" applyNumberFormat="1" applyFont="1" applyBorder="1" applyAlignment="1">
      <alignment horizontal="left" vertical="center" wrapText="1"/>
    </xf>
    <xf numFmtId="3" fontId="10" fillId="0" borderId="0" xfId="0" applyNumberFormat="1" applyFont="1"/>
    <xf numFmtId="165" fontId="5" fillId="0" borderId="0" xfId="2" applyNumberFormat="1" applyFont="1"/>
    <xf numFmtId="165" fontId="4" fillId="0" borderId="1" xfId="4" applyNumberFormat="1" applyFont="1" applyFill="1" applyBorder="1" applyAlignment="1"/>
    <xf numFmtId="165" fontId="8" fillId="0" borderId="0" xfId="0" applyNumberFormat="1" applyFont="1"/>
    <xf numFmtId="165" fontId="3" fillId="0" borderId="4" xfId="4" applyNumberFormat="1" applyFont="1" applyFill="1" applyBorder="1" applyAlignment="1"/>
    <xf numFmtId="165" fontId="3" fillId="0" borderId="5" xfId="4" applyNumberFormat="1" applyFont="1" applyFill="1" applyBorder="1" applyAlignment="1"/>
    <xf numFmtId="165" fontId="3" fillId="2" borderId="5" xfId="4" applyNumberFormat="1" applyFont="1" applyFill="1" applyBorder="1" applyAlignment="1">
      <alignment horizontal="left"/>
    </xf>
    <xf numFmtId="0" fontId="13" fillId="0" borderId="0" xfId="0" applyFont="1" applyAlignment="1">
      <alignment horizontal="right" vertical="center" wrapText="1" indent="1"/>
    </xf>
    <xf numFmtId="0" fontId="1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</cellXfs>
  <cellStyles count="5">
    <cellStyle name="Comma" xfId="1" builtinId="3"/>
    <cellStyle name="Comma 2" xfId="4" xr:uid="{F87CF540-3933-4EF5-9094-9B23E5C1F2F6}"/>
    <cellStyle name="Comma 3 2" xfId="3" xr:uid="{CD65DE0D-11C8-4ECA-9F9F-F906B9D2A26F}"/>
    <cellStyle name="Normal" xfId="0" builtinId="0"/>
    <cellStyle name="Normal 2 2" xfId="2" xr:uid="{E06FD80F-24A5-44A0-A50B-26A95F0A70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9CD0B-6B1D-43FB-B750-4EC334F32A62}">
  <dimension ref="A1:F71"/>
  <sheetViews>
    <sheetView showGridLines="0" zoomScaleNormal="100" workbookViewId="0">
      <selection activeCell="B4" sqref="B4"/>
    </sheetView>
  </sheetViews>
  <sheetFormatPr defaultColWidth="8.7109375" defaultRowHeight="12.6"/>
  <cols>
    <col min="1" max="1" width="40.7109375" style="3" bestFit="1" customWidth="1"/>
    <col min="2" max="2" width="11.5703125" style="3" bestFit="1" customWidth="1"/>
    <col min="3" max="3" width="12" style="3" bestFit="1" customWidth="1"/>
    <col min="4" max="16384" width="8.7109375" style="3"/>
  </cols>
  <sheetData>
    <row r="1" spans="1:3" ht="12.95">
      <c r="A1" s="2" t="s">
        <v>0</v>
      </c>
    </row>
    <row r="2" spans="1:3" ht="12.95">
      <c r="A2" s="2" t="s">
        <v>1</v>
      </c>
    </row>
    <row r="3" spans="1:3" ht="12.95">
      <c r="A3" s="2" t="s">
        <v>2</v>
      </c>
    </row>
    <row r="4" spans="1:3" ht="12.95">
      <c r="A4" s="2"/>
    </row>
    <row r="5" spans="1:3" ht="12.95">
      <c r="A5" s="2"/>
      <c r="B5" s="9" t="s">
        <v>3</v>
      </c>
      <c r="C5" s="16" t="s">
        <v>4</v>
      </c>
    </row>
    <row r="6" spans="1:3" ht="12.95">
      <c r="B6" s="17" t="s">
        <v>5</v>
      </c>
      <c r="C6" s="5">
        <v>2024</v>
      </c>
    </row>
    <row r="7" spans="1:3" ht="12.95">
      <c r="A7" s="2" t="s">
        <v>6</v>
      </c>
      <c r="B7" s="2"/>
    </row>
    <row r="8" spans="1:3" ht="12.95">
      <c r="A8" s="2" t="s">
        <v>7</v>
      </c>
      <c r="B8" s="2"/>
    </row>
    <row r="9" spans="1:3" ht="12.95">
      <c r="A9" s="3" t="s">
        <v>8</v>
      </c>
      <c r="B9" s="7">
        <v>71185.999999999985</v>
      </c>
      <c r="C9" s="6">
        <v>55235</v>
      </c>
    </row>
    <row r="10" spans="1:3" ht="12.95">
      <c r="A10" s="3" t="s">
        <v>9</v>
      </c>
      <c r="B10" s="7">
        <v>225942</v>
      </c>
      <c r="C10" s="6">
        <v>204213</v>
      </c>
    </row>
    <row r="11" spans="1:3" ht="12.95">
      <c r="A11" s="3" t="s">
        <v>10</v>
      </c>
      <c r="B11" s="7">
        <v>32874</v>
      </c>
      <c r="C11" s="6">
        <v>32380</v>
      </c>
    </row>
    <row r="12" spans="1:3" ht="12.95">
      <c r="A12" s="3" t="s">
        <v>11</v>
      </c>
      <c r="B12" s="7">
        <v>200</v>
      </c>
      <c r="C12" s="6">
        <v>0</v>
      </c>
    </row>
    <row r="13" spans="1:3" ht="12.95">
      <c r="A13" s="3" t="s">
        <v>12</v>
      </c>
      <c r="B13" s="7">
        <v>8059</v>
      </c>
      <c r="C13" s="6">
        <v>18073</v>
      </c>
    </row>
    <row r="14" spans="1:3" ht="12.95">
      <c r="A14" s="3" t="s">
        <v>13</v>
      </c>
      <c r="B14" s="13">
        <v>6738</v>
      </c>
      <c r="C14" s="10">
        <v>5977</v>
      </c>
    </row>
    <row r="15" spans="1:3" ht="12.95">
      <c r="B15" s="7">
        <f>SUM(B9:B14)</f>
        <v>344999</v>
      </c>
      <c r="C15" s="6">
        <f>SUM(C9:C14)</f>
        <v>315878</v>
      </c>
    </row>
    <row r="16" spans="1:3" ht="12.95">
      <c r="A16" s="2" t="s">
        <v>14</v>
      </c>
      <c r="B16" s="7"/>
      <c r="C16" s="6"/>
    </row>
    <row r="17" spans="1:6" ht="12.95">
      <c r="A17" s="3" t="s">
        <v>13</v>
      </c>
      <c r="B17" s="7">
        <v>22062</v>
      </c>
      <c r="C17" s="6">
        <v>24704</v>
      </c>
    </row>
    <row r="18" spans="1:6" ht="12.95">
      <c r="A18" s="3" t="s">
        <v>15</v>
      </c>
      <c r="B18" s="7">
        <v>800</v>
      </c>
      <c r="C18" s="6">
        <v>1000</v>
      </c>
    </row>
    <row r="19" spans="1:6" ht="12.95">
      <c r="A19" s="3" t="s">
        <v>16</v>
      </c>
      <c r="B19" s="7">
        <v>52332</v>
      </c>
      <c r="C19" s="6">
        <v>37945</v>
      </c>
    </row>
    <row r="20" spans="1:6" ht="12.95">
      <c r="A20" s="3" t="s">
        <v>17</v>
      </c>
      <c r="B20" s="7">
        <v>850336</v>
      </c>
      <c r="C20" s="6">
        <v>850336</v>
      </c>
    </row>
    <row r="21" spans="1:6" ht="12.95">
      <c r="A21" s="3" t="s">
        <v>18</v>
      </c>
      <c r="B21" s="7">
        <v>29388</v>
      </c>
      <c r="C21" s="6">
        <v>29125</v>
      </c>
    </row>
    <row r="22" spans="1:6" ht="12.95">
      <c r="A22" s="3" t="s">
        <v>19</v>
      </c>
      <c r="B22" s="7">
        <v>7570</v>
      </c>
      <c r="C22" s="6">
        <v>6219</v>
      </c>
    </row>
    <row r="23" spans="1:6" ht="12.95">
      <c r="A23" s="3" t="s">
        <v>20</v>
      </c>
      <c r="B23" s="7">
        <v>102851</v>
      </c>
      <c r="C23" s="6">
        <v>96047</v>
      </c>
      <c r="D23" s="14"/>
    </row>
    <row r="24" spans="1:6" ht="12.95">
      <c r="A24" s="3" t="s">
        <v>21</v>
      </c>
      <c r="B24" s="7">
        <v>461641</v>
      </c>
      <c r="C24" s="6">
        <v>452660</v>
      </c>
    </row>
    <row r="25" spans="1:6" ht="12.95">
      <c r="A25" s="3" t="s">
        <v>22</v>
      </c>
      <c r="B25" s="7">
        <v>75039.813634964608</v>
      </c>
      <c r="C25" s="6">
        <v>75510</v>
      </c>
    </row>
    <row r="26" spans="1:6" ht="12.95">
      <c r="A26" s="3" t="s">
        <v>23</v>
      </c>
      <c r="B26" s="13">
        <v>2577</v>
      </c>
      <c r="C26" s="10">
        <v>2941</v>
      </c>
    </row>
    <row r="27" spans="1:6" ht="12.95">
      <c r="A27" s="8"/>
      <c r="B27" s="7">
        <f>SUM(B16:B26)</f>
        <v>1604596.8136349646</v>
      </c>
      <c r="C27" s="6">
        <f>SUM(C16:C26)</f>
        <v>1576487</v>
      </c>
    </row>
    <row r="28" spans="1:6" ht="13.5" thickBot="1">
      <c r="A28" s="2" t="s">
        <v>24</v>
      </c>
      <c r="B28" s="11">
        <f>B15+B27</f>
        <v>1949595.8136349646</v>
      </c>
      <c r="C28" s="43">
        <f>C15+C27</f>
        <v>1892365</v>
      </c>
      <c r="F28" s="14"/>
    </row>
    <row r="29" spans="1:6" ht="13.5" thickTop="1">
      <c r="A29" s="2" t="s">
        <v>25</v>
      </c>
      <c r="B29" s="7"/>
      <c r="C29" s="6"/>
    </row>
    <row r="30" spans="1:6" ht="12.95">
      <c r="A30" s="2" t="s">
        <v>26</v>
      </c>
      <c r="B30" s="7"/>
      <c r="C30" s="6"/>
    </row>
    <row r="31" spans="1:6" ht="12.95">
      <c r="A31" s="3" t="s">
        <v>27</v>
      </c>
      <c r="B31" s="7">
        <f>276965-10</f>
        <v>276955</v>
      </c>
      <c r="C31" s="6">
        <v>289054</v>
      </c>
    </row>
    <row r="32" spans="1:6" ht="12.95">
      <c r="A32" s="3" t="s">
        <v>28</v>
      </c>
      <c r="B32" s="7">
        <v>47010</v>
      </c>
      <c r="C32" s="6">
        <v>43389</v>
      </c>
    </row>
    <row r="33" spans="1:3" ht="12.95">
      <c r="A33" s="3" t="s">
        <v>29</v>
      </c>
      <c r="B33" s="7">
        <v>11007.37</v>
      </c>
      <c r="C33" s="6">
        <v>14891</v>
      </c>
    </row>
    <row r="34" spans="1:3" ht="12.95">
      <c r="A34" s="3" t="s">
        <v>30</v>
      </c>
      <c r="B34" s="7">
        <v>9843</v>
      </c>
      <c r="C34" s="6">
        <v>10152</v>
      </c>
    </row>
    <row r="35" spans="1:3" ht="12.95">
      <c r="A35" s="3" t="s">
        <v>31</v>
      </c>
      <c r="B35" s="13">
        <v>114539</v>
      </c>
      <c r="C35" s="10">
        <v>45809</v>
      </c>
    </row>
    <row r="36" spans="1:3" ht="12.95">
      <c r="B36" s="7">
        <f>SUM(B31:B35)</f>
        <v>459354.37</v>
      </c>
      <c r="C36" s="6">
        <f>SUM(C31:C35)</f>
        <v>403295</v>
      </c>
    </row>
    <row r="37" spans="1:3" ht="12.95">
      <c r="A37" s="2" t="s">
        <v>32</v>
      </c>
      <c r="B37" s="7"/>
      <c r="C37" s="6"/>
    </row>
    <row r="38" spans="1:3" ht="12.95">
      <c r="A38" s="3" t="s">
        <v>30</v>
      </c>
      <c r="B38" s="7">
        <v>129214</v>
      </c>
      <c r="C38" s="6">
        <v>123818</v>
      </c>
    </row>
    <row r="39" spans="1:3" ht="12.95">
      <c r="A39" s="3" t="s">
        <v>31</v>
      </c>
      <c r="B39" s="7">
        <v>474644</v>
      </c>
      <c r="C39" s="6">
        <v>471845</v>
      </c>
    </row>
    <row r="40" spans="1:3" ht="12.95">
      <c r="A40" s="3" t="s">
        <v>33</v>
      </c>
      <c r="B40" s="7">
        <v>4136</v>
      </c>
      <c r="C40" s="6">
        <v>4226</v>
      </c>
    </row>
    <row r="41" spans="1:3" ht="12.95">
      <c r="A41" s="3" t="s">
        <v>34</v>
      </c>
      <c r="B41" s="13">
        <v>96640</v>
      </c>
      <c r="C41" s="10">
        <v>99293</v>
      </c>
    </row>
    <row r="42" spans="1:3" ht="12.95">
      <c r="B42" s="7">
        <f>SUM(B38:B41)</f>
        <v>704634</v>
      </c>
      <c r="C42" s="6">
        <f>SUM(C38:C41)</f>
        <v>699182</v>
      </c>
    </row>
    <row r="43" spans="1:3" ht="13.5" thickBot="1">
      <c r="A43" s="3" t="s">
        <v>35</v>
      </c>
      <c r="B43" s="11">
        <f>B36+B42</f>
        <v>1163988.3700000001</v>
      </c>
      <c r="C43" s="43">
        <f>C36+C42</f>
        <v>1102477</v>
      </c>
    </row>
    <row r="44" spans="1:3" ht="13.5" thickTop="1">
      <c r="A44" s="2" t="s">
        <v>36</v>
      </c>
      <c r="B44" s="7"/>
      <c r="C44" s="6"/>
    </row>
    <row r="45" spans="1:3" ht="12.95">
      <c r="A45" s="3" t="s">
        <v>37</v>
      </c>
      <c r="B45" s="7">
        <v>75000</v>
      </c>
      <c r="C45" s="6">
        <v>75000</v>
      </c>
    </row>
    <row r="46" spans="1:3" ht="12.95">
      <c r="A46" s="3" t="s">
        <v>38</v>
      </c>
      <c r="B46" s="7">
        <v>-109</v>
      </c>
      <c r="C46" s="6">
        <v>-191</v>
      </c>
    </row>
    <row r="47" spans="1:3" ht="12.95">
      <c r="A47" s="3" t="s">
        <v>39</v>
      </c>
      <c r="B47" s="7">
        <v>-648</v>
      </c>
      <c r="C47" s="6">
        <v>-1815</v>
      </c>
    </row>
    <row r="48" spans="1:3" ht="12.95">
      <c r="A48" s="3" t="s">
        <v>40</v>
      </c>
      <c r="B48" s="7">
        <v>25000</v>
      </c>
      <c r="C48" s="6">
        <v>25000</v>
      </c>
    </row>
    <row r="49" spans="1:5" ht="12.95">
      <c r="A49" s="3" t="s">
        <v>41</v>
      </c>
      <c r="B49" s="7">
        <v>49875</v>
      </c>
      <c r="C49" s="6">
        <v>49875</v>
      </c>
    </row>
    <row r="50" spans="1:5" ht="12.95">
      <c r="A50" s="3" t="s">
        <v>42</v>
      </c>
      <c r="B50" s="7">
        <v>7288</v>
      </c>
      <c r="C50" s="6">
        <v>7288</v>
      </c>
    </row>
    <row r="51" spans="1:5" ht="12.95">
      <c r="A51" s="3" t="s">
        <v>43</v>
      </c>
      <c r="B51" s="7">
        <v>36893</v>
      </c>
      <c r="C51" s="6">
        <v>36893</v>
      </c>
    </row>
    <row r="52" spans="1:5" ht="12.95">
      <c r="A52" s="3" t="s">
        <v>44</v>
      </c>
      <c r="B52" s="13">
        <f>589370-54</f>
        <v>589316</v>
      </c>
      <c r="C52" s="10">
        <v>595857</v>
      </c>
    </row>
    <row r="53" spans="1:5" ht="12.95">
      <c r="A53" s="2" t="s">
        <v>45</v>
      </c>
      <c r="B53" s="7">
        <f>SUM(B45:B52)</f>
        <v>782615</v>
      </c>
      <c r="C53" s="6">
        <f>SUM(C45:C52)</f>
        <v>787907</v>
      </c>
      <c r="E53" s="14"/>
    </row>
    <row r="54" spans="1:5" ht="12.95">
      <c r="A54" s="2" t="s">
        <v>46</v>
      </c>
      <c r="B54" s="13">
        <v>2992.9225764730027</v>
      </c>
      <c r="C54" s="10">
        <v>1981</v>
      </c>
    </row>
    <row r="55" spans="1:5" ht="12.95">
      <c r="A55" s="2" t="s">
        <v>47</v>
      </c>
      <c r="B55" s="7">
        <f>B53+B54</f>
        <v>785607.92257647298</v>
      </c>
      <c r="C55" s="6">
        <f>C53+C54</f>
        <v>789888</v>
      </c>
    </row>
    <row r="56" spans="1:5" ht="13.5" thickBot="1">
      <c r="A56" s="3" t="s">
        <v>48</v>
      </c>
      <c r="B56" s="11">
        <f>B55+B43</f>
        <v>1949596.2925764732</v>
      </c>
      <c r="C56" s="43">
        <f>C55+C43</f>
        <v>1892365</v>
      </c>
    </row>
    <row r="57" spans="1:5" ht="12.95" thickTop="1">
      <c r="B57" s="4">
        <f>B56-B28</f>
        <v>0.47894150856882334</v>
      </c>
      <c r="C57" s="4">
        <f>C56-C28</f>
        <v>0</v>
      </c>
    </row>
    <row r="58" spans="1:5" ht="12.95">
      <c r="B58" s="12"/>
      <c r="C58" s="4"/>
    </row>
    <row r="59" spans="1:5" ht="12.95">
      <c r="B59" s="12"/>
      <c r="C59" s="4"/>
    </row>
    <row r="60" spans="1:5">
      <c r="B60" s="4"/>
      <c r="C60" s="4"/>
    </row>
    <row r="61" spans="1:5">
      <c r="B61" s="4"/>
      <c r="C61" s="4"/>
    </row>
    <row r="62" spans="1:5">
      <c r="B62" s="4"/>
      <c r="C62" s="4"/>
    </row>
    <row r="63" spans="1:5">
      <c r="B63" s="4"/>
      <c r="C63" s="4"/>
    </row>
    <row r="64" spans="1:5">
      <c r="B64" s="4"/>
      <c r="C64" s="4"/>
    </row>
    <row r="65" spans="2:3">
      <c r="B65" s="4"/>
      <c r="C65" s="4"/>
    </row>
    <row r="66" spans="2:3">
      <c r="B66" s="4"/>
      <c r="C66" s="4"/>
    </row>
    <row r="67" spans="2:3">
      <c r="B67" s="4"/>
      <c r="C67" s="4"/>
    </row>
    <row r="68" spans="2:3">
      <c r="B68" s="4"/>
      <c r="C68" s="4"/>
    </row>
    <row r="69" spans="2:3">
      <c r="B69" s="4"/>
      <c r="C69" s="4"/>
    </row>
    <row r="70" spans="2:3">
      <c r="B70" s="4"/>
      <c r="C70" s="4"/>
    </row>
    <row r="71" spans="2:3">
      <c r="B71" s="4"/>
      <c r="C71" s="4"/>
    </row>
  </sheetData>
  <pageMargins left="0.7" right="0.7" top="0.5" bottom="0.5" header="0.3" footer="0.3"/>
  <pageSetup paperSize="9" orientation="portrait" r:id="rId1"/>
  <headerFooter>
    <oddFooter>&amp;L_x000D_&amp;1#&amp;"Calibri"&amp;10&amp;K000000 Omantel - Concealed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1BA72-8201-4E74-9CC6-C636AD5D067C}">
  <dimension ref="A1:C49"/>
  <sheetViews>
    <sheetView showGridLines="0" zoomScale="90" zoomScaleNormal="90" workbookViewId="0">
      <selection activeCell="B11" sqref="B11"/>
    </sheetView>
  </sheetViews>
  <sheetFormatPr defaultColWidth="8.7109375" defaultRowHeight="12.6"/>
  <cols>
    <col min="1" max="1" width="37.42578125" style="20" bestFit="1" customWidth="1"/>
    <col min="2" max="2" width="11.85546875" style="20" customWidth="1"/>
    <col min="3" max="3" width="11.140625" style="20" bestFit="1" customWidth="1"/>
    <col min="4" max="16384" width="8.7109375" style="20"/>
  </cols>
  <sheetData>
    <row r="1" spans="1:3" ht="12.95">
      <c r="A1" s="2" t="s">
        <v>0</v>
      </c>
      <c r="B1" s="2"/>
    </row>
    <row r="2" spans="1:3" ht="12.95">
      <c r="A2" s="2" t="s">
        <v>1</v>
      </c>
      <c r="B2" s="2"/>
      <c r="C2" s="3"/>
    </row>
    <row r="3" spans="1:3" ht="12.95">
      <c r="A3" s="2" t="s">
        <v>49</v>
      </c>
      <c r="B3" s="2"/>
      <c r="C3" s="3"/>
    </row>
    <row r="4" spans="1:3" ht="12.95">
      <c r="A4" s="2"/>
      <c r="B4" s="2"/>
      <c r="C4" s="3"/>
    </row>
    <row r="5" spans="1:3" ht="12.95">
      <c r="A5" s="2"/>
      <c r="B5" s="16" t="s">
        <v>50</v>
      </c>
      <c r="C5" s="16" t="s">
        <v>50</v>
      </c>
    </row>
    <row r="6" spans="1:3">
      <c r="A6" s="3"/>
      <c r="B6" s="5">
        <v>2025</v>
      </c>
      <c r="C6" s="77" t="s">
        <v>51</v>
      </c>
    </row>
    <row r="8" spans="1:3" ht="12.95">
      <c r="A8" s="20" t="s">
        <v>52</v>
      </c>
      <c r="B8" s="21">
        <v>321348</v>
      </c>
      <c r="C8" s="22">
        <v>297671</v>
      </c>
    </row>
    <row r="9" spans="1:3" ht="12.95">
      <c r="A9" s="20" t="s">
        <v>53</v>
      </c>
      <c r="B9" s="21">
        <v>-153932</v>
      </c>
      <c r="C9" s="22">
        <v>-133989</v>
      </c>
    </row>
    <row r="10" spans="1:3" ht="12.95">
      <c r="A10" s="20" t="s">
        <v>54</v>
      </c>
      <c r="B10" s="21">
        <v>-79116</v>
      </c>
      <c r="C10" s="22">
        <v>-78574</v>
      </c>
    </row>
    <row r="11" spans="1:3" ht="12.95">
      <c r="A11" s="20" t="s">
        <v>55</v>
      </c>
      <c r="B11" s="21">
        <v>-59097.243239898024</v>
      </c>
      <c r="C11" s="22">
        <v>-53724.791545090782</v>
      </c>
    </row>
    <row r="12" spans="1:3" ht="12.95">
      <c r="A12" s="20" t="s">
        <v>56</v>
      </c>
      <c r="B12" s="21">
        <v>-3606</v>
      </c>
      <c r="C12" s="22">
        <v>-3105</v>
      </c>
    </row>
    <row r="13" spans="1:3" ht="12.95">
      <c r="A13" s="20" t="s">
        <v>57</v>
      </c>
      <c r="B13" s="21">
        <v>1288</v>
      </c>
      <c r="C13" s="22">
        <v>801</v>
      </c>
    </row>
    <row r="14" spans="1:3" ht="12.95">
      <c r="A14" s="20" t="s">
        <v>58</v>
      </c>
      <c r="B14" s="21">
        <v>29514</v>
      </c>
      <c r="C14" s="22">
        <v>30260</v>
      </c>
    </row>
    <row r="15" spans="1:3" ht="12.95">
      <c r="A15" s="20" t="s">
        <v>59</v>
      </c>
      <c r="B15" s="21">
        <v>2975</v>
      </c>
      <c r="C15" s="22">
        <v>2594</v>
      </c>
    </row>
    <row r="16" spans="1:3" ht="12.95">
      <c r="A16" s="20" t="s">
        <v>60</v>
      </c>
      <c r="B16" s="21">
        <f>24.4227199999987+24</f>
        <v>48.422719999998705</v>
      </c>
      <c r="C16" s="22">
        <v>1703.7001599999999</v>
      </c>
    </row>
    <row r="17" spans="1:3" ht="12.95">
      <c r="A17" s="20" t="s">
        <v>61</v>
      </c>
      <c r="B17" s="21">
        <v>-22438.032999999996</v>
      </c>
      <c r="C17" s="22">
        <v>-21623.032999999996</v>
      </c>
    </row>
    <row r="18" spans="1:3" ht="12.95">
      <c r="A18" s="20" t="s">
        <v>62</v>
      </c>
      <c r="B18" s="23">
        <v>509.42272000000003</v>
      </c>
      <c r="C18" s="24">
        <v>-105.26815999999963</v>
      </c>
    </row>
    <row r="19" spans="1:3" ht="12.95">
      <c r="A19" s="20" t="s">
        <v>63</v>
      </c>
      <c r="B19" s="21">
        <f>SUM(B8:B18)</f>
        <v>37493.569200101985</v>
      </c>
      <c r="C19" s="22">
        <f>SUM(C8:C18)</f>
        <v>41908.607454909223</v>
      </c>
    </row>
    <row r="20" spans="1:3" ht="12.95">
      <c r="A20" s="20" t="s">
        <v>64</v>
      </c>
      <c r="B20" s="23">
        <v>-2378</v>
      </c>
      <c r="C20" s="24">
        <v>-3123.9999999999986</v>
      </c>
    </row>
    <row r="21" spans="1:3" ht="12.95">
      <c r="A21" s="25" t="s">
        <v>65</v>
      </c>
      <c r="B21" s="21">
        <f>SUM(B19:B20)</f>
        <v>35115.569200101985</v>
      </c>
      <c r="C21" s="22">
        <f>SUM(C19:C20)</f>
        <v>38784.607454909223</v>
      </c>
    </row>
    <row r="22" spans="1:3" ht="12.95">
      <c r="A22" s="25" t="s">
        <v>66</v>
      </c>
      <c r="B22" s="25"/>
      <c r="C22" s="22"/>
    </row>
    <row r="23" spans="1:3" ht="12.95">
      <c r="A23" s="20" t="s">
        <v>67</v>
      </c>
      <c r="B23" s="21">
        <v>34709</v>
      </c>
      <c r="C23" s="22">
        <v>38859</v>
      </c>
    </row>
    <row r="24" spans="1:3" ht="12.95">
      <c r="A24" s="20" t="s">
        <v>68</v>
      </c>
      <c r="B24" s="21">
        <v>406.92599999997401</v>
      </c>
      <c r="C24" s="22">
        <v>-74</v>
      </c>
    </row>
    <row r="25" spans="1:3" ht="13.5" thickBot="1">
      <c r="A25" s="20" t="s">
        <v>65</v>
      </c>
      <c r="B25" s="26">
        <f>SUM(B23:B24)</f>
        <v>35115.925999999978</v>
      </c>
      <c r="C25" s="27">
        <f>SUM(C23:C24)</f>
        <v>38785</v>
      </c>
    </row>
    <row r="26" spans="1:3" ht="12.95" thickTop="1">
      <c r="C26" s="22"/>
    </row>
    <row r="27" spans="1:3">
      <c r="B27" s="93"/>
      <c r="C27" s="93"/>
    </row>
    <row r="28" spans="1:3">
      <c r="C28" s="22"/>
    </row>
    <row r="29" spans="1:3">
      <c r="C29" s="22"/>
    </row>
    <row r="30" spans="1:3">
      <c r="C30" s="22"/>
    </row>
    <row r="31" spans="1:3">
      <c r="C31" s="22"/>
    </row>
    <row r="32" spans="1:3">
      <c r="C32" s="22"/>
    </row>
    <row r="33" spans="3:3">
      <c r="C33" s="22"/>
    </row>
    <row r="34" spans="3:3">
      <c r="C34" s="22"/>
    </row>
    <row r="35" spans="3:3">
      <c r="C35" s="22"/>
    </row>
    <row r="36" spans="3:3">
      <c r="C36" s="22"/>
    </row>
    <row r="37" spans="3:3">
      <c r="C37" s="22"/>
    </row>
    <row r="38" spans="3:3">
      <c r="C38" s="22"/>
    </row>
    <row r="39" spans="3:3">
      <c r="C39" s="22"/>
    </row>
    <row r="40" spans="3:3">
      <c r="C40" s="22"/>
    </row>
    <row r="41" spans="3:3">
      <c r="C41" s="22"/>
    </row>
    <row r="42" spans="3:3">
      <c r="C42" s="22"/>
    </row>
    <row r="43" spans="3:3">
      <c r="C43" s="22"/>
    </row>
    <row r="44" spans="3:3">
      <c r="C44" s="22"/>
    </row>
    <row r="45" spans="3:3">
      <c r="C45" s="22"/>
    </row>
    <row r="46" spans="3:3">
      <c r="C46" s="22"/>
    </row>
    <row r="47" spans="3:3">
      <c r="C47" s="22"/>
    </row>
    <row r="48" spans="3:3">
      <c r="C48" s="22"/>
    </row>
    <row r="49" spans="3:3">
      <c r="C49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066F3-9E30-453C-A108-6F43CCAFB9D0}">
  <dimension ref="A1:N25"/>
  <sheetViews>
    <sheetView showGridLines="0" zoomScale="90" zoomScaleNormal="90" workbookViewId="0">
      <selection activeCell="K1" sqref="K1"/>
    </sheetView>
  </sheetViews>
  <sheetFormatPr defaultColWidth="8.7109375" defaultRowHeight="14.1"/>
  <cols>
    <col min="1" max="1" width="36.42578125" style="44" customWidth="1"/>
    <col min="2" max="2" width="7.42578125" style="44" customWidth="1"/>
    <col min="3" max="3" width="10.28515625" style="44" bestFit="1" customWidth="1"/>
    <col min="4" max="4" width="8.5703125" style="44" customWidth="1"/>
    <col min="5" max="5" width="7" style="44" customWidth="1"/>
    <col min="6" max="6" width="9" style="44" customWidth="1"/>
    <col min="7" max="7" width="11.42578125" style="44" customWidth="1"/>
    <col min="8" max="8" width="6.85546875" style="44" customWidth="1"/>
    <col min="9" max="9" width="8.85546875" style="44" customWidth="1"/>
    <col min="10" max="10" width="7.7109375" style="44" customWidth="1"/>
    <col min="11" max="11" width="9.140625" style="44" customWidth="1"/>
    <col min="12" max="12" width="8.28515625" style="44" customWidth="1"/>
    <col min="13" max="16384" width="8.7109375" style="44"/>
  </cols>
  <sheetData>
    <row r="1" spans="1:14">
      <c r="A1" s="73" t="s">
        <v>0</v>
      </c>
    </row>
    <row r="2" spans="1:14">
      <c r="A2" s="74" t="s">
        <v>1</v>
      </c>
    </row>
    <row r="3" spans="1:14">
      <c r="A3" s="73" t="s">
        <v>69</v>
      </c>
    </row>
    <row r="4" spans="1:14" ht="14.45" thickBot="1">
      <c r="A4" s="46"/>
      <c r="B4" s="98" t="s">
        <v>70</v>
      </c>
      <c r="C4" s="98"/>
      <c r="D4" s="98"/>
      <c r="E4" s="98"/>
      <c r="F4" s="98"/>
      <c r="G4" s="98"/>
      <c r="H4" s="98"/>
      <c r="I4" s="98"/>
      <c r="J4" s="98"/>
      <c r="K4" s="99"/>
      <c r="L4" s="99"/>
    </row>
    <row r="5" spans="1:14" ht="57.6">
      <c r="A5" s="45"/>
      <c r="B5" s="47" t="s">
        <v>71</v>
      </c>
      <c r="C5" s="47" t="s">
        <v>38</v>
      </c>
      <c r="D5" s="47" t="s">
        <v>39</v>
      </c>
      <c r="E5" s="47" t="s">
        <v>40</v>
      </c>
      <c r="F5" s="47" t="s">
        <v>41</v>
      </c>
      <c r="G5" s="47" t="s">
        <v>42</v>
      </c>
      <c r="H5" s="47" t="s">
        <v>72</v>
      </c>
      <c r="I5" s="48" t="s">
        <v>73</v>
      </c>
      <c r="J5" s="47" t="s">
        <v>74</v>
      </c>
      <c r="K5" s="47" t="s">
        <v>75</v>
      </c>
      <c r="L5" s="47" t="s">
        <v>74</v>
      </c>
    </row>
    <row r="6" spans="1:14">
      <c r="A6" s="45"/>
      <c r="B6" s="47" t="s">
        <v>76</v>
      </c>
      <c r="C6" s="47" t="s">
        <v>76</v>
      </c>
      <c r="D6" s="47" t="s">
        <v>76</v>
      </c>
      <c r="E6" s="47" t="s">
        <v>76</v>
      </c>
      <c r="F6" s="47" t="s">
        <v>76</v>
      </c>
      <c r="G6" s="47" t="s">
        <v>76</v>
      </c>
      <c r="H6" s="47" t="s">
        <v>76</v>
      </c>
      <c r="I6" s="47" t="s">
        <v>76</v>
      </c>
      <c r="J6" s="47" t="s">
        <v>76</v>
      </c>
      <c r="K6" s="47" t="s">
        <v>76</v>
      </c>
      <c r="L6" s="47" t="s">
        <v>76</v>
      </c>
    </row>
    <row r="7" spans="1:14" ht="14.45" thickBot="1">
      <c r="A7" s="49" t="s">
        <v>77</v>
      </c>
      <c r="B7" s="50">
        <v>75000</v>
      </c>
      <c r="C7" s="89">
        <v>-191</v>
      </c>
      <c r="D7" s="89">
        <v>-1815</v>
      </c>
      <c r="E7" s="50">
        <v>25000</v>
      </c>
      <c r="F7" s="50">
        <v>49875</v>
      </c>
      <c r="G7" s="50">
        <v>7288</v>
      </c>
      <c r="H7" s="50">
        <v>36893</v>
      </c>
      <c r="I7" s="51">
        <v>595857</v>
      </c>
      <c r="J7" s="51">
        <f>SUM(B7:I7)</f>
        <v>787907</v>
      </c>
      <c r="K7" s="51">
        <v>1981</v>
      </c>
      <c r="L7" s="51">
        <f>SUM(J7:K7)</f>
        <v>789888</v>
      </c>
    </row>
    <row r="8" spans="1:14" ht="14.45" thickBot="1">
      <c r="A8" s="49" t="s">
        <v>65</v>
      </c>
      <c r="B8" s="52" t="s">
        <v>78</v>
      </c>
      <c r="C8" s="52" t="s">
        <v>78</v>
      </c>
      <c r="D8" s="52" t="s">
        <v>78</v>
      </c>
      <c r="E8" s="52" t="s">
        <v>78</v>
      </c>
      <c r="F8" s="52" t="s">
        <v>78</v>
      </c>
      <c r="G8" s="52" t="s">
        <v>78</v>
      </c>
      <c r="H8" s="52" t="s">
        <v>78</v>
      </c>
      <c r="I8" s="53">
        <v>34709</v>
      </c>
      <c r="J8" s="53">
        <f>SUM(I8)</f>
        <v>34709</v>
      </c>
      <c r="K8" s="54">
        <v>407</v>
      </c>
      <c r="L8" s="53">
        <f>SUM(J8:K8)</f>
        <v>35116</v>
      </c>
    </row>
    <row r="9" spans="1:14">
      <c r="A9" s="55" t="s">
        <v>79</v>
      </c>
      <c r="B9" s="47" t="s">
        <v>78</v>
      </c>
      <c r="C9" s="47"/>
      <c r="D9" s="47"/>
      <c r="E9" s="47" t="s">
        <v>78</v>
      </c>
      <c r="F9" s="47" t="s">
        <v>78</v>
      </c>
      <c r="G9" s="47" t="s">
        <v>78</v>
      </c>
      <c r="H9" s="47" t="s">
        <v>78</v>
      </c>
      <c r="I9" s="56">
        <f>SUM(I8)</f>
        <v>34709</v>
      </c>
      <c r="J9" s="56">
        <f t="shared" ref="J9:L9" si="0">SUM(J8)</f>
        <v>34709</v>
      </c>
      <c r="K9" s="57">
        <f t="shared" si="0"/>
        <v>407</v>
      </c>
      <c r="L9" s="56">
        <f t="shared" si="0"/>
        <v>35116</v>
      </c>
    </row>
    <row r="10" spans="1:14">
      <c r="A10" s="55" t="s">
        <v>80</v>
      </c>
      <c r="B10" s="47" t="s">
        <v>78</v>
      </c>
      <c r="C10" s="85">
        <v>82</v>
      </c>
      <c r="D10" s="85">
        <v>1167</v>
      </c>
      <c r="E10" s="47" t="s">
        <v>78</v>
      </c>
      <c r="F10" s="47" t="s">
        <v>78</v>
      </c>
      <c r="G10" s="47" t="s">
        <v>78</v>
      </c>
      <c r="H10" s="47" t="s">
        <v>78</v>
      </c>
      <c r="I10" s="47" t="s">
        <v>78</v>
      </c>
      <c r="J10" s="85">
        <f>SUM(B10:I10)</f>
        <v>1249</v>
      </c>
      <c r="K10" s="87">
        <v>0</v>
      </c>
      <c r="L10" s="85">
        <f>SUM(J10:K10)</f>
        <v>1249</v>
      </c>
    </row>
    <row r="11" spans="1:14">
      <c r="A11" s="55" t="s">
        <v>81</v>
      </c>
      <c r="B11" s="47"/>
      <c r="C11" s="85"/>
      <c r="D11" s="85"/>
      <c r="E11" s="47"/>
      <c r="F11" s="47"/>
      <c r="G11" s="47"/>
      <c r="H11" s="47"/>
      <c r="I11" s="47"/>
      <c r="J11" s="85"/>
      <c r="K11" s="88">
        <v>273</v>
      </c>
      <c r="L11" s="85">
        <f t="shared" ref="L11:L12" si="1">SUM(J11:K11)</f>
        <v>273</v>
      </c>
    </row>
    <row r="12" spans="1:14">
      <c r="A12" s="55" t="s">
        <v>82</v>
      </c>
      <c r="B12" s="47"/>
      <c r="C12" s="85"/>
      <c r="D12" s="85"/>
      <c r="E12" s="47"/>
      <c r="F12" s="47"/>
      <c r="G12" s="47"/>
      <c r="H12" s="47"/>
      <c r="I12" s="47"/>
      <c r="J12" s="85"/>
      <c r="K12" s="88">
        <v>332</v>
      </c>
      <c r="L12" s="85">
        <f t="shared" si="1"/>
        <v>332</v>
      </c>
    </row>
    <row r="13" spans="1:14" ht="14.45" thickBot="1">
      <c r="A13" s="49" t="s">
        <v>83</v>
      </c>
      <c r="B13" s="58" t="s">
        <v>78</v>
      </c>
      <c r="C13" s="58" t="s">
        <v>78</v>
      </c>
      <c r="D13" s="58" t="s">
        <v>78</v>
      </c>
      <c r="E13" s="58" t="s">
        <v>78</v>
      </c>
      <c r="F13" s="58" t="s">
        <v>78</v>
      </c>
      <c r="G13" s="58" t="s">
        <v>78</v>
      </c>
      <c r="H13" s="58" t="s">
        <v>78</v>
      </c>
      <c r="I13" s="59">
        <v>-41250</v>
      </c>
      <c r="J13" s="59">
        <v>-41250</v>
      </c>
      <c r="K13" s="83">
        <v>0</v>
      </c>
      <c r="L13" s="59">
        <v>-41250</v>
      </c>
    </row>
    <row r="14" spans="1:14" ht="14.45" thickBot="1">
      <c r="A14" s="45" t="s">
        <v>84</v>
      </c>
      <c r="B14" s="50">
        <v>75000</v>
      </c>
      <c r="C14" s="59">
        <f>-109</f>
        <v>-109</v>
      </c>
      <c r="D14" s="59">
        <v>-648</v>
      </c>
      <c r="E14" s="50">
        <v>25000</v>
      </c>
      <c r="F14" s="50">
        <v>49875</v>
      </c>
      <c r="G14" s="50">
        <v>7288</v>
      </c>
      <c r="H14" s="50">
        <v>36893</v>
      </c>
      <c r="I14" s="51">
        <f>I7+I9+I13</f>
        <v>589316</v>
      </c>
      <c r="J14" s="51">
        <f>J7+J9+J13+J10</f>
        <v>782615</v>
      </c>
      <c r="K14" s="51">
        <f>K7+K9+K13+K11+K12</f>
        <v>2993</v>
      </c>
      <c r="L14" s="51">
        <f>L7+L9+L13+L11+L12+L10</f>
        <v>785608</v>
      </c>
      <c r="N14" s="90"/>
    </row>
    <row r="15" spans="1:14">
      <c r="A15" s="45"/>
      <c r="B15" s="60"/>
      <c r="C15" s="60"/>
      <c r="D15" s="60"/>
      <c r="E15" s="97"/>
      <c r="F15" s="97"/>
      <c r="G15" s="60"/>
      <c r="H15" s="60"/>
      <c r="I15" s="75"/>
      <c r="J15" s="76"/>
      <c r="K15" s="61"/>
      <c r="L15" s="62"/>
    </row>
    <row r="16" spans="1:14">
      <c r="A16" s="45"/>
      <c r="B16" s="60"/>
      <c r="C16" s="60"/>
      <c r="D16" s="60"/>
      <c r="E16" s="60"/>
      <c r="F16" s="60"/>
      <c r="G16" s="60"/>
      <c r="H16" s="60"/>
      <c r="I16" s="63"/>
      <c r="J16" s="63"/>
      <c r="K16" s="60"/>
      <c r="L16" s="55"/>
    </row>
    <row r="17" spans="1:12" ht="14.45" thickBot="1">
      <c r="A17" s="49" t="s">
        <v>85</v>
      </c>
      <c r="B17" s="64">
        <v>75000</v>
      </c>
      <c r="C17" s="84">
        <v>0</v>
      </c>
      <c r="D17" s="84">
        <v>0</v>
      </c>
      <c r="E17" s="64">
        <v>25000</v>
      </c>
      <c r="F17" s="64">
        <v>49875</v>
      </c>
      <c r="G17" s="64">
        <v>7288</v>
      </c>
      <c r="H17" s="64">
        <v>36893</v>
      </c>
      <c r="I17" s="65">
        <v>567321</v>
      </c>
      <c r="J17" s="65">
        <f>SUM(B17:I17)</f>
        <v>761377</v>
      </c>
      <c r="K17" s="65">
        <v>1665</v>
      </c>
      <c r="L17" s="65">
        <f>SUM(J17:K17)</f>
        <v>763042</v>
      </c>
    </row>
    <row r="18" spans="1:12" ht="14.45" thickBot="1">
      <c r="A18" s="49" t="s">
        <v>65</v>
      </c>
      <c r="B18" s="66" t="s">
        <v>78</v>
      </c>
      <c r="C18" s="52" t="s">
        <v>78</v>
      </c>
      <c r="D18" s="52" t="s">
        <v>78</v>
      </c>
      <c r="E18" s="67" t="s">
        <v>78</v>
      </c>
      <c r="F18" s="67" t="s">
        <v>78</v>
      </c>
      <c r="G18" s="67" t="s">
        <v>78</v>
      </c>
      <c r="H18" s="67" t="s">
        <v>78</v>
      </c>
      <c r="I18" s="68">
        <v>38859</v>
      </c>
      <c r="J18" s="68">
        <v>38859</v>
      </c>
      <c r="K18" s="69">
        <v>-74</v>
      </c>
      <c r="L18" s="70">
        <f>SUM(J18:K18)</f>
        <v>38785</v>
      </c>
    </row>
    <row r="19" spans="1:12">
      <c r="A19" s="55" t="s">
        <v>86</v>
      </c>
      <c r="B19" s="67" t="s">
        <v>78</v>
      </c>
      <c r="C19" s="67" t="s">
        <v>78</v>
      </c>
      <c r="D19" s="67" t="s">
        <v>78</v>
      </c>
      <c r="E19" s="67" t="s">
        <v>78</v>
      </c>
      <c r="F19" s="67" t="s">
        <v>78</v>
      </c>
      <c r="G19" s="67" t="s">
        <v>78</v>
      </c>
      <c r="H19" s="67" t="s">
        <v>78</v>
      </c>
      <c r="I19" s="68">
        <f>SUM(I18:I18)</f>
        <v>38859</v>
      </c>
      <c r="J19" s="68">
        <f>SUM(J18:J18)</f>
        <v>38859</v>
      </c>
      <c r="K19" s="69">
        <f>SUM(K18:K18)</f>
        <v>-74</v>
      </c>
      <c r="L19" s="68">
        <f>SUM(L18:L18)</f>
        <v>38785</v>
      </c>
    </row>
    <row r="20" spans="1:12">
      <c r="A20" s="49" t="s">
        <v>87</v>
      </c>
      <c r="B20" s="66" t="s">
        <v>78</v>
      </c>
      <c r="C20" s="66" t="s">
        <v>78</v>
      </c>
      <c r="D20" s="66" t="s">
        <v>78</v>
      </c>
      <c r="E20" s="66" t="s">
        <v>78</v>
      </c>
      <c r="F20" s="66" t="s">
        <v>78</v>
      </c>
      <c r="G20" s="66" t="s">
        <v>78</v>
      </c>
      <c r="H20" s="66" t="s">
        <v>78</v>
      </c>
      <c r="I20" s="62">
        <v>-41250</v>
      </c>
      <c r="J20" s="62">
        <v>-41250</v>
      </c>
      <c r="K20" s="70">
        <v>0</v>
      </c>
      <c r="L20" s="62">
        <f>SUM(J20:K20)</f>
        <v>-41250</v>
      </c>
    </row>
    <row r="21" spans="1:12">
      <c r="A21" s="45" t="s">
        <v>88</v>
      </c>
      <c r="B21" s="71">
        <v>75000</v>
      </c>
      <c r="C21" s="86" t="s">
        <v>78</v>
      </c>
      <c r="D21" s="86" t="s">
        <v>78</v>
      </c>
      <c r="E21" s="71">
        <v>25000</v>
      </c>
      <c r="F21" s="71">
        <v>49875</v>
      </c>
      <c r="G21" s="71">
        <v>7288</v>
      </c>
      <c r="H21" s="71">
        <v>36893</v>
      </c>
      <c r="I21" s="72">
        <f>I17+I19+I20</f>
        <v>564930</v>
      </c>
      <c r="J21" s="72">
        <f>J17+J19+J20</f>
        <v>758986</v>
      </c>
      <c r="K21" s="72">
        <f>K17+K19+K20</f>
        <v>1591</v>
      </c>
      <c r="L21" s="72">
        <f>L17+L19+L20</f>
        <v>760577</v>
      </c>
    </row>
    <row r="25" spans="1:12">
      <c r="J25" s="90"/>
    </row>
  </sheetData>
  <mergeCells count="3">
    <mergeCell ref="E15:F15"/>
    <mergeCell ref="B4:J4"/>
    <mergeCell ref="K4:L4"/>
  </mergeCells>
  <pageMargins left="0.2" right="0.2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9F22-BD95-49BF-87AA-DA71E2C975EE}">
  <dimension ref="A1:D51"/>
  <sheetViews>
    <sheetView showGridLines="0" tabSelected="1" topLeftCell="A33" zoomScaleNormal="100" workbookViewId="0">
      <selection activeCell="B38" sqref="B38"/>
    </sheetView>
  </sheetViews>
  <sheetFormatPr defaultRowHeight="14.45"/>
  <cols>
    <col min="1" max="1" width="51.140625" bestFit="1" customWidth="1"/>
    <col min="2" max="3" width="9.28515625" bestFit="1" customWidth="1"/>
  </cols>
  <sheetData>
    <row r="1" spans="1:4">
      <c r="A1" s="2" t="s">
        <v>0</v>
      </c>
      <c r="B1" s="2"/>
    </row>
    <row r="2" spans="1:4">
      <c r="A2" s="2" t="s">
        <v>1</v>
      </c>
      <c r="B2" s="2"/>
      <c r="C2" s="3"/>
    </row>
    <row r="3" spans="1:4">
      <c r="A3" s="2" t="s">
        <v>89</v>
      </c>
      <c r="B3" s="2"/>
      <c r="C3" s="3"/>
    </row>
    <row r="4" spans="1:4">
      <c r="A4" s="2"/>
      <c r="B4" s="2"/>
      <c r="C4" s="3"/>
    </row>
    <row r="5" spans="1:4">
      <c r="A5" s="38"/>
      <c r="B5" s="28" t="s">
        <v>50</v>
      </c>
      <c r="C5" s="28" t="s">
        <v>50</v>
      </c>
    </row>
    <row r="6" spans="1:4">
      <c r="A6" s="42" t="s">
        <v>90</v>
      </c>
      <c r="B6" s="82">
        <v>2025</v>
      </c>
      <c r="C6" s="37" t="s">
        <v>51</v>
      </c>
    </row>
    <row r="7" spans="1:4">
      <c r="A7" s="39" t="s">
        <v>91</v>
      </c>
      <c r="B7" s="30">
        <f>IS!B19</f>
        <v>37493.569200101985</v>
      </c>
      <c r="C7" s="34">
        <f>IS!C19</f>
        <v>41908.607454909223</v>
      </c>
      <c r="D7" s="1"/>
    </row>
    <row r="8" spans="1:4">
      <c r="A8" s="39" t="s">
        <v>92</v>
      </c>
      <c r="B8" s="30"/>
      <c r="C8" s="34"/>
    </row>
    <row r="9" spans="1:4">
      <c r="A9" s="40" t="s">
        <v>93</v>
      </c>
      <c r="B9" s="30">
        <f>-IS!B11</f>
        <v>59097.243239898024</v>
      </c>
      <c r="C9" s="34">
        <f>-IS!C11</f>
        <v>53724.791545090782</v>
      </c>
    </row>
    <row r="10" spans="1:4">
      <c r="A10" s="40" t="s">
        <v>94</v>
      </c>
      <c r="B10" s="30">
        <f>-IS!B12</f>
        <v>3606</v>
      </c>
      <c r="C10" s="34">
        <f>-IS!C12</f>
        <v>3105</v>
      </c>
    </row>
    <row r="11" spans="1:4">
      <c r="A11" s="40" t="s">
        <v>95</v>
      </c>
      <c r="B11" s="30">
        <f>-IS!B13</f>
        <v>-1288</v>
      </c>
      <c r="C11" s="34">
        <f>-IS!C13</f>
        <v>-801</v>
      </c>
    </row>
    <row r="12" spans="1:4">
      <c r="A12" s="40" t="s">
        <v>96</v>
      </c>
      <c r="B12" s="30">
        <f>-IS!B14</f>
        <v>-29514</v>
      </c>
      <c r="C12" s="34">
        <f>-IS!C14</f>
        <v>-30260</v>
      </c>
    </row>
    <row r="13" spans="1:4">
      <c r="A13" s="40" t="s">
        <v>97</v>
      </c>
      <c r="B13" s="30">
        <f>-IS!B15</f>
        <v>-2975</v>
      </c>
      <c r="C13" s="34">
        <f>-IS!C15</f>
        <v>-2594</v>
      </c>
    </row>
    <row r="14" spans="1:4">
      <c r="A14" s="40" t="s">
        <v>98</v>
      </c>
      <c r="B14" s="30">
        <f>-IS!B17</f>
        <v>22438.032999999996</v>
      </c>
      <c r="C14" s="34">
        <f>-IS!C17</f>
        <v>21623.032999999996</v>
      </c>
    </row>
    <row r="15" spans="1:4">
      <c r="A15" s="40" t="s">
        <v>99</v>
      </c>
      <c r="B15" s="30">
        <v>-509.42272000000003</v>
      </c>
      <c r="C15" s="34">
        <v>105.26815999999963</v>
      </c>
    </row>
    <row r="16" spans="1:4">
      <c r="A16" s="40" t="s">
        <v>100</v>
      </c>
      <c r="B16" s="31">
        <v>-75</v>
      </c>
      <c r="C16" s="35">
        <v>-10</v>
      </c>
    </row>
    <row r="17" spans="1:3">
      <c r="A17" s="40" t="s">
        <v>101</v>
      </c>
      <c r="B17" s="79">
        <f>SUM(B7:B16)</f>
        <v>88273.422720000002</v>
      </c>
      <c r="C17" s="34">
        <f>SUM(C7:C16)</f>
        <v>86801.700160000008</v>
      </c>
    </row>
    <row r="18" spans="1:3">
      <c r="A18" s="40" t="s">
        <v>102</v>
      </c>
      <c r="B18" s="30">
        <v>-25023</v>
      </c>
      <c r="C18" s="34">
        <f>-2835+286</f>
        <v>-2549</v>
      </c>
    </row>
    <row r="19" spans="1:3">
      <c r="A19" s="40" t="s">
        <v>103</v>
      </c>
      <c r="B19" s="30">
        <v>10264</v>
      </c>
      <c r="C19" s="34">
        <v>2847</v>
      </c>
    </row>
    <row r="20" spans="1:3">
      <c r="A20" s="40" t="s">
        <v>104</v>
      </c>
      <c r="B20" s="31">
        <f>-12595-531-30</f>
        <v>-13156</v>
      </c>
      <c r="C20" s="35">
        <f>-10031-373-3378-9</f>
        <v>-13791</v>
      </c>
    </row>
    <row r="21" spans="1:3">
      <c r="A21" s="29" t="s">
        <v>105</v>
      </c>
      <c r="B21" s="79">
        <f>SUM(B17:B20)</f>
        <v>60358.422720000002</v>
      </c>
      <c r="C21" s="34">
        <f>SUM(C17:C20)</f>
        <v>73308.700160000008</v>
      </c>
    </row>
    <row r="22" spans="1:3">
      <c r="A22" s="29" t="s">
        <v>106</v>
      </c>
      <c r="B22" s="78">
        <v>-6689</v>
      </c>
      <c r="C22" s="35">
        <v>-5802</v>
      </c>
    </row>
    <row r="23" spans="1:3">
      <c r="A23" s="29" t="s">
        <v>107</v>
      </c>
      <c r="B23" s="79">
        <f>SUM(B21:B22)</f>
        <v>53669.422720000002</v>
      </c>
      <c r="C23" s="34">
        <f>SUM(C21:C22)</f>
        <v>67506.700160000008</v>
      </c>
    </row>
    <row r="24" spans="1:3">
      <c r="A24" s="29" t="s">
        <v>108</v>
      </c>
      <c r="B24" s="79"/>
      <c r="C24" s="39"/>
    </row>
    <row r="25" spans="1:3">
      <c r="A25" s="39" t="s">
        <v>109</v>
      </c>
      <c r="B25" s="79">
        <v>-40</v>
      </c>
      <c r="C25" s="34">
        <v>-500</v>
      </c>
    </row>
    <row r="26" spans="1:3">
      <c r="A26" s="41" t="s">
        <v>110</v>
      </c>
      <c r="B26" s="30">
        <f>-60840+75-486</f>
        <v>-61251</v>
      </c>
      <c r="C26" s="34">
        <f>-66853+473+10</f>
        <v>-66370</v>
      </c>
    </row>
    <row r="27" spans="1:3">
      <c r="A27" s="41" t="s">
        <v>111</v>
      </c>
      <c r="B27" s="30">
        <v>486</v>
      </c>
      <c r="C27" s="34">
        <v>10</v>
      </c>
    </row>
    <row r="28" spans="1:3">
      <c r="A28" s="41" t="s">
        <v>112</v>
      </c>
      <c r="B28" s="80">
        <v>-80</v>
      </c>
      <c r="C28" s="34">
        <v>-2480</v>
      </c>
    </row>
    <row r="29" spans="1:3">
      <c r="A29" s="39" t="s">
        <v>113</v>
      </c>
      <c r="B29" s="30">
        <v>1564</v>
      </c>
      <c r="C29" s="34">
        <v>412</v>
      </c>
    </row>
    <row r="30" spans="1:3">
      <c r="A30" s="39" t="s">
        <v>114</v>
      </c>
      <c r="B30" s="30">
        <v>-385</v>
      </c>
      <c r="C30" s="34">
        <f>22*0</f>
        <v>0</v>
      </c>
    </row>
    <row r="31" spans="1:3">
      <c r="A31" s="39" t="s">
        <v>115</v>
      </c>
      <c r="B31" s="30">
        <v>-14087</v>
      </c>
      <c r="C31" s="34">
        <f>-1092+21</f>
        <v>-1071</v>
      </c>
    </row>
    <row r="32" spans="1:3">
      <c r="A32" s="41" t="s">
        <v>116</v>
      </c>
      <c r="B32" s="80">
        <v>32934</v>
      </c>
      <c r="C32" s="34">
        <f>29275+303+2618</f>
        <v>32196</v>
      </c>
    </row>
    <row r="33" spans="1:3">
      <c r="A33" s="41" t="s">
        <v>117</v>
      </c>
      <c r="B33" s="80">
        <v>1024</v>
      </c>
      <c r="C33" s="35">
        <v>649</v>
      </c>
    </row>
    <row r="34" spans="1:3">
      <c r="A34" s="29" t="s">
        <v>118</v>
      </c>
      <c r="B34" s="81">
        <f>SUM(B25:B33)</f>
        <v>-39835</v>
      </c>
      <c r="C34" s="34">
        <f>SUM(C25:C33)</f>
        <v>-37154</v>
      </c>
    </row>
    <row r="35" spans="1:3">
      <c r="A35" s="29" t="s">
        <v>119</v>
      </c>
      <c r="B35" s="79"/>
      <c r="C35" s="39"/>
    </row>
    <row r="36" spans="1:3">
      <c r="A36" s="39" t="s">
        <v>120</v>
      </c>
      <c r="B36" s="79">
        <v>111483</v>
      </c>
      <c r="C36" s="34">
        <v>270022</v>
      </c>
    </row>
    <row r="37" spans="1:3">
      <c r="A37" s="39" t="s">
        <v>121</v>
      </c>
      <c r="B37" s="79">
        <f>-40670</f>
        <v>-40670</v>
      </c>
      <c r="C37" s="34">
        <v>-240767</v>
      </c>
    </row>
    <row r="38" spans="1:3">
      <c r="A38" s="39" t="s">
        <v>122</v>
      </c>
      <c r="B38" s="79">
        <v>-2104</v>
      </c>
      <c r="C38" s="96">
        <v>-2104</v>
      </c>
    </row>
    <row r="39" spans="1:3">
      <c r="A39" s="39" t="s">
        <v>123</v>
      </c>
      <c r="B39" s="79">
        <v>-10826</v>
      </c>
      <c r="C39" s="34">
        <f>-13945+2104</f>
        <v>-11841</v>
      </c>
    </row>
    <row r="40" spans="1:3">
      <c r="A40" s="39" t="s">
        <v>124</v>
      </c>
      <c r="B40" s="79">
        <v>1068</v>
      </c>
      <c r="C40" s="34">
        <v>0</v>
      </c>
    </row>
    <row r="41" spans="1:3">
      <c r="A41" s="39" t="s">
        <v>125</v>
      </c>
      <c r="B41" s="79">
        <v>-41250</v>
      </c>
      <c r="C41" s="34">
        <v>-41250</v>
      </c>
    </row>
    <row r="42" spans="1:3">
      <c r="A42" s="39" t="s">
        <v>126</v>
      </c>
      <c r="B42" s="79">
        <v>-16097</v>
      </c>
      <c r="C42" s="34">
        <v>-13349</v>
      </c>
    </row>
    <row r="43" spans="1:3">
      <c r="A43" s="29" t="s">
        <v>127</v>
      </c>
      <c r="B43" s="32">
        <f>SUM(B36:B42)</f>
        <v>1604</v>
      </c>
      <c r="C43" s="94">
        <f>SUM(C36:C42)</f>
        <v>-39289</v>
      </c>
    </row>
    <row r="44" spans="1:3">
      <c r="A44" s="29" t="s">
        <v>128</v>
      </c>
      <c r="B44" s="33">
        <f>B43+B34+B23</f>
        <v>15438.422720000002</v>
      </c>
      <c r="C44" s="95">
        <f>C43+C34+C23</f>
        <v>-8936.2998399999924</v>
      </c>
    </row>
    <row r="45" spans="1:3">
      <c r="A45" s="39" t="s">
        <v>129</v>
      </c>
      <c r="B45" s="79">
        <v>55233.367151432998</v>
      </c>
      <c r="C45" s="34">
        <v>42345</v>
      </c>
    </row>
    <row r="46" spans="1:3">
      <c r="A46" s="39" t="s">
        <v>130</v>
      </c>
      <c r="B46" s="79">
        <v>-25</v>
      </c>
      <c r="C46" s="34">
        <v>0</v>
      </c>
    </row>
    <row r="47" spans="1:3">
      <c r="A47" s="42" t="s">
        <v>131</v>
      </c>
      <c r="B47" s="92">
        <f>SUM(B44:B46)</f>
        <v>70646.789871432993</v>
      </c>
      <c r="C47" s="36">
        <f>SUM(C44:C46)</f>
        <v>33408.700160000008</v>
      </c>
    </row>
    <row r="48" spans="1:3">
      <c r="A48" s="3"/>
      <c r="B48" s="14"/>
      <c r="C48" s="3"/>
    </row>
    <row r="49" spans="1:3">
      <c r="A49" s="3"/>
      <c r="B49" s="3"/>
      <c r="C49" s="1"/>
    </row>
    <row r="50" spans="1:3">
      <c r="A50" s="19"/>
      <c r="B50" s="91"/>
      <c r="C50" s="91"/>
    </row>
    <row r="51" spans="1:3">
      <c r="A51" s="18"/>
      <c r="B51" s="18"/>
      <c r="C51" s="1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EB96D2085F54289EBB2AD69C56427" ma:contentTypeVersion="15" ma:contentTypeDescription="Create a new document." ma:contentTypeScope="" ma:versionID="8264ecb6ed5cd24dc1db944116dbfa14">
  <xsd:schema xmlns:xsd="http://www.w3.org/2001/XMLSchema" xmlns:xs="http://www.w3.org/2001/XMLSchema" xmlns:p="http://schemas.microsoft.com/office/2006/metadata/properties" xmlns:ns1="http://schemas.microsoft.com/sharepoint/v3" xmlns:ns2="f5e39c9a-0115-4391-aef3-f93e5c20fd39" xmlns:ns3="7aa2f299-84e6-454e-87c2-b73224ac6fb6" targetNamespace="http://schemas.microsoft.com/office/2006/metadata/properties" ma:root="true" ma:fieldsID="c3060256e44b88e984fc220549bcc467" ns1:_="" ns2:_="" ns3:_="">
    <xsd:import namespace="http://schemas.microsoft.com/sharepoint/v3"/>
    <xsd:import namespace="f5e39c9a-0115-4391-aef3-f93e5c20fd39"/>
    <xsd:import namespace="7aa2f299-84e6-454e-87c2-b73224ac6f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39c9a-0115-4391-aef3-f93e5c20fd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3eb84e5-4f22-43b1-8d51-e124bce1e9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2f299-84e6-454e-87c2-b73224ac6fb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7212797-5562-4f42-a838-7ff59f9954e2}" ma:internalName="TaxCatchAll" ma:showField="CatchAllData" ma:web="7aa2f299-84e6-454e-87c2-b73224ac6f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e39c9a-0115-4391-aef3-f93e5c20fd39">
      <Terms xmlns="http://schemas.microsoft.com/office/infopath/2007/PartnerControls"/>
    </lcf76f155ced4ddcb4097134ff3c332f>
    <TaxCatchAll xmlns="7aa2f299-84e6-454e-87c2-b73224ac6fb6" xsi:nil="true"/>
    <SharedWithUsers xmlns="7aa2f299-84e6-454e-87c2-b73224ac6fb6">
      <UserInfo>
        <DisplayName>Haitham Mubarak Sulaiyam Al Muqbali</DisplayName>
        <AccountId>9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73E9DDB-64FE-43C4-9D0C-0285664EFAF9}"/>
</file>

<file path=customXml/itemProps2.xml><?xml version="1.0" encoding="utf-8"?>
<ds:datastoreItem xmlns:ds="http://schemas.openxmlformats.org/officeDocument/2006/customXml" ds:itemID="{97BA26BA-5CE5-41E8-A447-97C229F515C1}"/>
</file>

<file path=customXml/itemProps3.xml><?xml version="1.0" encoding="utf-8"?>
<ds:datastoreItem xmlns:ds="http://schemas.openxmlformats.org/officeDocument/2006/customXml" ds:itemID="{3910512A-6C65-4B05-AB98-B4D41EAE4AA3}"/>
</file>

<file path=docMetadata/LabelInfo.xml><?xml version="1.0" encoding="utf-8"?>
<clbl:labelList xmlns:clbl="http://schemas.microsoft.com/office/2020/mipLabelMetadata">
  <clbl:label id="{e42c4766-7e60-410e-a3cb-4565100f2685}" enabled="1" method="Standard" siteId="{2a97cd69-2afd-40c9-bcf6-32581ecf57c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OmanTel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Amit Kumar Sikaria</dc:creator>
  <cp:keywords/>
  <dc:description/>
  <cp:lastModifiedBy/>
  <cp:revision/>
  <dcterms:created xsi:type="dcterms:W3CDTF">2024-05-20T14:43:16Z</dcterms:created>
  <dcterms:modified xsi:type="dcterms:W3CDTF">2025-12-24T07:31:24Z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0x010100EC6EB96D2085F54289EBB2AD69C56427</vt:lpwstr>
  </property>
</Properties>
</file>